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LSC Data\CT18\"/>
    </mc:Choice>
  </mc:AlternateContent>
  <bookViews>
    <workbookView xWindow="0" yWindow="0" windowWidth="19305" windowHeight="8085"/>
  </bookViews>
  <sheets>
    <sheet name="CT1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3" i="1" l="1"/>
  <c r="X23" i="1"/>
  <c r="Y16" i="1"/>
  <c r="Z16" i="1" s="1"/>
  <c r="Y15" i="1"/>
  <c r="Z15" i="1" s="1"/>
  <c r="Y14" i="1"/>
  <c r="Z14" i="1" s="1"/>
  <c r="Y13" i="1"/>
  <c r="Z13" i="1" s="1"/>
  <c r="Y12" i="1"/>
  <c r="Z12" i="1" s="1"/>
  <c r="Y11" i="1"/>
  <c r="Z11" i="1" s="1"/>
  <c r="Y10" i="1"/>
  <c r="Z10" i="1" s="1"/>
  <c r="Y9" i="1"/>
  <c r="Z9" i="1" s="1"/>
  <c r="Y8" i="1"/>
  <c r="Z8" i="1" s="1"/>
  <c r="Y7" i="1"/>
  <c r="Z7" i="1" s="1"/>
  <c r="Y6" i="1"/>
  <c r="Z6" i="1" s="1"/>
  <c r="Y5" i="1"/>
  <c r="Z5" i="1" s="1"/>
  <c r="Y4" i="1"/>
  <c r="Z4" i="1" s="1"/>
  <c r="Y3" i="1"/>
  <c r="Z3" i="1" s="1"/>
  <c r="Y2" i="1"/>
  <c r="Z2" i="1" s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3" i="1"/>
  <c r="W2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U3" i="1"/>
  <c r="U2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F17" i="1"/>
  <c r="H17" i="1" s="1"/>
  <c r="F16" i="1"/>
  <c r="H16" i="1" s="1"/>
  <c r="F15" i="1"/>
  <c r="F14" i="1"/>
  <c r="H14" i="1" s="1"/>
  <c r="F13" i="1"/>
  <c r="H13" i="1" s="1"/>
  <c r="F12" i="1"/>
  <c r="H12" i="1" s="1"/>
  <c r="F11" i="1"/>
  <c r="F10" i="1"/>
  <c r="H10" i="1" s="1"/>
  <c r="F9" i="1"/>
  <c r="H9" i="1" s="1"/>
  <c r="F8" i="1"/>
  <c r="H8" i="1" s="1"/>
  <c r="F7" i="1"/>
  <c r="F6" i="1"/>
  <c r="H6" i="1" s="1"/>
  <c r="F5" i="1"/>
  <c r="H5" i="1" s="1"/>
  <c r="F4" i="1"/>
  <c r="H4" i="1" s="1"/>
  <c r="F3" i="1"/>
  <c r="F2" i="1"/>
  <c r="H2" i="1" s="1"/>
  <c r="H3" i="1" l="1"/>
  <c r="H11" i="1"/>
  <c r="H7" i="1"/>
  <c r="H15" i="1"/>
  <c r="AA16" i="1"/>
  <c r="AA15" i="1"/>
  <c r="AA14" i="1"/>
  <c r="AA13" i="1"/>
  <c r="AA12" i="1"/>
  <c r="AA11" i="1"/>
  <c r="AA10" i="1"/>
  <c r="AE9" i="1"/>
  <c r="AA9" i="1"/>
  <c r="AA8" i="1"/>
  <c r="AA7" i="1"/>
  <c r="AA6" i="1"/>
  <c r="AA5" i="1"/>
  <c r="AA4" i="1"/>
  <c r="AE3" i="1"/>
  <c r="AA3" i="1"/>
  <c r="AA2" i="1"/>
  <c r="AB3" i="1" l="1"/>
  <c r="AB13" i="1"/>
  <c r="AB4" i="1"/>
  <c r="AB6" i="1"/>
  <c r="AB8" i="1"/>
  <c r="AB10" i="1"/>
  <c r="AB14" i="1"/>
  <c r="AB11" i="1"/>
  <c r="AB15" i="1"/>
  <c r="AB5" i="1"/>
  <c r="AB7" i="1"/>
  <c r="AB9" i="1"/>
  <c r="AB12" i="1"/>
  <c r="AB16" i="1"/>
  <c r="AB2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M17" i="1" l="1"/>
  <c r="N17" i="1" s="1"/>
  <c r="I3" i="1"/>
  <c r="K3" i="1" s="1"/>
  <c r="I4" i="1"/>
  <c r="K4" i="1" s="1"/>
  <c r="L4" i="1" s="1"/>
  <c r="I5" i="1"/>
  <c r="K5" i="1" s="1"/>
  <c r="I6" i="1"/>
  <c r="K6" i="1" s="1"/>
  <c r="I7" i="1"/>
  <c r="K7" i="1" s="1"/>
  <c r="I8" i="1"/>
  <c r="K8" i="1" s="1"/>
  <c r="L8" i="1" s="1"/>
  <c r="I9" i="1"/>
  <c r="K9" i="1" s="1"/>
  <c r="I10" i="1"/>
  <c r="K10" i="1" s="1"/>
  <c r="I11" i="1"/>
  <c r="K11" i="1" s="1"/>
  <c r="I12" i="1"/>
  <c r="K12" i="1" s="1"/>
  <c r="I13" i="1"/>
  <c r="K13" i="1" s="1"/>
  <c r="I14" i="1"/>
  <c r="K14" i="1" s="1"/>
  <c r="I15" i="1"/>
  <c r="K15" i="1" s="1"/>
  <c r="I16" i="1"/>
  <c r="K16" i="1" s="1"/>
  <c r="I17" i="1"/>
  <c r="K17" i="1" s="1"/>
  <c r="L17" i="1" s="1"/>
  <c r="I2" i="1"/>
  <c r="K2" i="1" s="1"/>
  <c r="M12" i="1" l="1"/>
  <c r="N12" i="1" s="1"/>
  <c r="L12" i="1"/>
  <c r="M15" i="1"/>
  <c r="L15" i="1"/>
  <c r="M7" i="1"/>
  <c r="N7" i="1" s="1"/>
  <c r="L7" i="1"/>
  <c r="M10" i="1"/>
  <c r="L10" i="1"/>
  <c r="M4" i="1"/>
  <c r="N4" i="1" s="1"/>
  <c r="M16" i="1"/>
  <c r="L16" i="1"/>
  <c r="M11" i="1"/>
  <c r="N11" i="1" s="1"/>
  <c r="L11" i="1"/>
  <c r="M3" i="1"/>
  <c r="L3" i="1"/>
  <c r="M2" i="1"/>
  <c r="N2" i="1" s="1"/>
  <c r="L2" i="1"/>
  <c r="M14" i="1"/>
  <c r="L14" i="1"/>
  <c r="M6" i="1"/>
  <c r="N6" i="1" s="1"/>
  <c r="L6" i="1"/>
  <c r="M13" i="1"/>
  <c r="L13" i="1"/>
  <c r="M9" i="1"/>
  <c r="N9" i="1" s="1"/>
  <c r="L9" i="1"/>
  <c r="M5" i="1"/>
  <c r="L5" i="1"/>
  <c r="M8" i="1"/>
  <c r="N8" i="1" s="1"/>
  <c r="T12" i="1"/>
  <c r="X12" i="1"/>
  <c r="O12" i="1"/>
  <c r="X15" i="1"/>
  <c r="O15" i="1"/>
  <c r="T15" i="1"/>
  <c r="O11" i="1"/>
  <c r="X7" i="1"/>
  <c r="O7" i="1"/>
  <c r="T7" i="1"/>
  <c r="X3" i="1"/>
  <c r="O3" i="1"/>
  <c r="T3" i="1"/>
  <c r="X14" i="1"/>
  <c r="AC14" i="1" s="1"/>
  <c r="O14" i="1"/>
  <c r="T14" i="1"/>
  <c r="X10" i="1"/>
  <c r="AC10" i="1" s="1"/>
  <c r="O10" i="1"/>
  <c r="T10" i="1"/>
  <c r="T6" i="1"/>
  <c r="X13" i="1"/>
  <c r="O13" i="1"/>
  <c r="T13" i="1"/>
  <c r="X9" i="1"/>
  <c r="T16" i="1"/>
  <c r="X16" i="1"/>
  <c r="AC16" i="1" s="1"/>
  <c r="O16" i="1"/>
  <c r="X17" i="1"/>
  <c r="O17" i="1"/>
  <c r="X2" i="1"/>
  <c r="T4" i="1"/>
  <c r="X4" i="1"/>
  <c r="AC4" i="1" s="1"/>
  <c r="O4" i="1"/>
  <c r="X5" i="1"/>
  <c r="O5" i="1"/>
  <c r="T5" i="1"/>
  <c r="AC12" i="1"/>
  <c r="AC7" i="1"/>
  <c r="AC3" i="1"/>
  <c r="AC13" i="1"/>
  <c r="AC5" i="1"/>
  <c r="Q11" i="1" l="1"/>
  <c r="P11" i="1"/>
  <c r="X11" i="1"/>
  <c r="Q12" i="1"/>
  <c r="P12" i="1"/>
  <c r="N10" i="1"/>
  <c r="N15" i="1"/>
  <c r="P15" i="1" s="1"/>
  <c r="O8" i="1"/>
  <c r="Q17" i="1"/>
  <c r="P17" i="1"/>
  <c r="O6" i="1"/>
  <c r="Q7" i="1"/>
  <c r="P7" i="1"/>
  <c r="X8" i="1"/>
  <c r="AC8" i="1" s="1"/>
  <c r="O2" i="1"/>
  <c r="T9" i="1"/>
  <c r="V11" i="1" s="1"/>
  <c r="Q13" i="1"/>
  <c r="X6" i="1"/>
  <c r="Q3" i="1"/>
  <c r="N5" i="1"/>
  <c r="N13" i="1"/>
  <c r="P13" i="1" s="1"/>
  <c r="N14" i="1"/>
  <c r="P14" i="1" s="1"/>
  <c r="N3" i="1"/>
  <c r="P3" i="1" s="1"/>
  <c r="N16" i="1"/>
  <c r="Q10" i="1"/>
  <c r="P10" i="1"/>
  <c r="Q5" i="1"/>
  <c r="P5" i="1"/>
  <c r="T8" i="1"/>
  <c r="Q4" i="1"/>
  <c r="P4" i="1"/>
  <c r="T2" i="1"/>
  <c r="V2" i="1" s="1"/>
  <c r="Q16" i="1"/>
  <c r="P16" i="1"/>
  <c r="O9" i="1"/>
  <c r="Q14" i="1"/>
  <c r="T11" i="1"/>
  <c r="Q15" i="1"/>
  <c r="AC6" i="1"/>
  <c r="AC9" i="1"/>
  <c r="AC15" i="1"/>
  <c r="AC11" i="1"/>
  <c r="V6" i="1"/>
  <c r="V7" i="1"/>
  <c r="V4" i="1"/>
  <c r="V12" i="1"/>
  <c r="AC2" i="1"/>
  <c r="Q8" i="1" l="1"/>
  <c r="P8" i="1"/>
  <c r="Q2" i="1"/>
  <c r="P2" i="1"/>
  <c r="Q6" i="1"/>
  <c r="P6" i="1"/>
  <c r="V5" i="1"/>
  <c r="V3" i="1"/>
  <c r="Q9" i="1"/>
  <c r="P9" i="1"/>
  <c r="V13" i="1"/>
  <c r="V8" i="1"/>
  <c r="V9" i="1"/>
  <c r="V10" i="1"/>
  <c r="AC23" i="1"/>
  <c r="V14" i="1"/>
  <c r="V16" i="1"/>
  <c r="V15" i="1"/>
</calcChain>
</file>

<file path=xl/sharedStrings.xml><?xml version="1.0" encoding="utf-8"?>
<sst xmlns="http://schemas.openxmlformats.org/spreadsheetml/2006/main" count="50" uniqueCount="50">
  <si>
    <t>Total counts (cpm)</t>
  </si>
  <si>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</si>
  <si>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</si>
  <si>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</si>
  <si>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</si>
  <si>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</si>
  <si>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</si>
  <si>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</si>
  <si>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</si>
  <si>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</si>
  <si>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Total bkgd corrected counts (cpm)</t>
  </si>
  <si>
    <t>Blk</t>
  </si>
  <si>
    <t>3 ml/min</t>
  </si>
  <si>
    <t>CT18 1 mL</t>
  </si>
  <si>
    <t>CT18 2 mL</t>
  </si>
  <si>
    <t>CT18 3 mL</t>
  </si>
  <si>
    <t>CT18 4 mL</t>
  </si>
  <si>
    <t>CT18 5 mL</t>
  </si>
  <si>
    <t>CT18 6 mL</t>
  </si>
  <si>
    <t>CT18 7 mL</t>
  </si>
  <si>
    <t>CT18 8 mL</t>
  </si>
  <si>
    <t>CT18 9 mL</t>
  </si>
  <si>
    <t>CT18 10 mL</t>
  </si>
  <si>
    <t>CT18 11 mL</t>
  </si>
  <si>
    <t>CT18 12 mL</t>
  </si>
  <si>
    <t>CT18 13 mL</t>
  </si>
  <si>
    <t>CT18 14 mL</t>
  </si>
  <si>
    <t>CT18 15 mL</t>
  </si>
  <si>
    <t>Weight of eluate (g)</t>
  </si>
  <si>
    <t>Weight Corrected Sr-90 Activity (DPM)</t>
  </si>
  <si>
    <t>Cumulative Activity (DPM)</t>
  </si>
  <si>
    <t>DC factor</t>
  </si>
  <si>
    <t>Decay constant of sr-90=</t>
  </si>
  <si>
    <t>Time from 19.07.2018</t>
  </si>
  <si>
    <t>DC to 19.07.2018</t>
  </si>
  <si>
    <r>
      <t xml:space="preserve">Measured counts % </t>
    </r>
    <r>
      <rPr>
        <sz val="11"/>
        <color theme="1"/>
        <rFont val="Calibri"/>
        <family val="2"/>
      </rPr>
      <t>σ</t>
    </r>
  </si>
  <si>
    <t>Measured counts σ</t>
  </si>
  <si>
    <t>Total Bkgd corrected counts σ</t>
  </si>
  <si>
    <r>
      <t xml:space="preserve">Time elapsed (hrs) </t>
    </r>
    <r>
      <rPr>
        <sz val="11"/>
        <color theme="1"/>
        <rFont val="Calibri"/>
        <family val="2"/>
      </rPr>
      <t>σ</t>
    </r>
  </si>
  <si>
    <r>
      <t xml:space="preserve">Ingrowth factor </t>
    </r>
    <r>
      <rPr>
        <sz val="11"/>
        <color theme="1"/>
        <rFont val="Calibri"/>
        <family val="2"/>
      </rPr>
      <t>σ</t>
    </r>
  </si>
  <si>
    <r>
      <t xml:space="preserve">CPM of Sr-90 </t>
    </r>
    <r>
      <rPr>
        <sz val="11"/>
        <color theme="1"/>
        <rFont val="Calibri"/>
        <family val="2"/>
      </rPr>
      <t>σ</t>
    </r>
  </si>
  <si>
    <r>
      <t xml:space="preserve">CPM of Y-90 </t>
    </r>
    <r>
      <rPr>
        <sz val="11"/>
        <color theme="1"/>
        <rFont val="Calibri"/>
        <family val="2"/>
      </rPr>
      <t>σ</t>
    </r>
  </si>
  <si>
    <t>Weight of Eluate (g) σ</t>
  </si>
  <si>
    <t>Weight Corrected Sr-90 Activity (DPM) σ</t>
  </si>
  <si>
    <t>Cumulative Activity (DPM) σ</t>
  </si>
  <si>
    <t>Activity (bq)</t>
  </si>
  <si>
    <t>Activity (Bq) σ</t>
  </si>
  <si>
    <t>Activity (Bq) σ ^2</t>
  </si>
  <si>
    <t>σ</t>
  </si>
  <si>
    <t>Sr-90 activity recovered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</si>
</sst>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00"/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22" fontId="0" fillId="0" borderId="0" xfId="0" applyNumberFormat="1"/>
    <xf numFmtId="0" fontId="0" fillId="2" borderId="0" xfId="0" applyFill="1"/>
    <xf numFmtId="0" fontId="0" fillId="3" borderId="2" xfId="0" applyFill="1" applyBorder="1"/>
    <xf numFmtId="0" fontId="0" fillId="3" borderId="3" xfId="0" applyFill="1" applyBorder="1"/>
    <xf numFmtId="0" fontId="0" fillId="3" borderId="1" xfId="0" applyFill="1" applyBorder="1"/>
    <xf numFmtId="0" fontId="0" fillId="3" borderId="0" xfId="0" applyFill="1"/>
    <xf numFmtId="166" fontId="0" fillId="3" borderId="3" xfId="0" applyNumberFormat="1" applyFill="1" applyBorder="1"/>
    <xf numFmtId="166" fontId="0" fillId="3" borderId="1" xfId="0" applyNumberFormat="1" applyFill="1" applyBorder="1"/>
    <xf numFmtId="0" fontId="0" fillId="0" borderId="2" xfId="0" applyBorder="1"/>
    <xf numFmtId="0" fontId="1" fillId="3" borderId="0" xfId="0" applyFont="1" applyFill="1"/>
    <xf numFmtId="0" fontId="0" fillId="0" borderId="1" xfId="0" applyBorder="1"/>
    <xf numFmtId="22" fontId="0" fillId="0" borderId="1" xfId="0" applyNumberFormat="1" applyBorder="1"/>
    <xf numFmtId="2" fontId="0" fillId="0" borderId="1" xfId="0" applyNumberFormat="1" applyBorder="1"/>
    <xf numFmtId="2" fontId="0" fillId="3" borderId="1" xfId="0" applyNumberFormat="1" applyFill="1" applyBorder="1"/>
    <xf numFmtId="164" fontId="0" fillId="0" borderId="1" xfId="0" applyNumberFormat="1" applyBorder="1"/>
    <xf numFmtId="165" fontId="0" fillId="0" borderId="1" xfId="0" applyNumberFormat="1" applyBorder="1"/>
    <xf numFmtId="0" fontId="0" fillId="0" borderId="3" xfId="0" applyBorder="1"/>
    <xf numFmtId="22" fontId="0" fillId="0" borderId="3" xfId="0" applyNumberFormat="1" applyBorder="1"/>
    <xf numFmtId="2" fontId="0" fillId="0" borderId="3" xfId="0" applyNumberFormat="1" applyBorder="1"/>
    <xf numFmtId="2" fontId="0" fillId="3" borderId="3" xfId="0" applyNumberFormat="1" applyFill="1" applyBorder="1"/>
    <xf numFmtId="164" fontId="0" fillId="0" borderId="3" xfId="0" applyNumberFormat="1" applyBorder="1"/>
    <xf numFmtId="165" fontId="0" fillId="0" borderId="3" xfId="0" applyNumberFormat="1" applyBorder="1"/>
    <xf numFmtId="0" fontId="0" fillId="0" borderId="2" xfId="0" applyFill="1" applyBorder="1"/>
    <xf numFmtId="0" fontId="0" fillId="0" borderId="5" xfId="0" applyBorder="1"/>
    <xf numFmtId="0" fontId="0" fillId="0" borderId="6" xfId="0" applyBorder="1"/>
    <xf numFmtId="22" fontId="0" fillId="0" borderId="7" xfId="0" applyNumberFormat="1" applyBorder="1"/>
    <xf numFmtId="22" fontId="0" fillId="0" borderId="8" xfId="0" applyNumberFormat="1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"/>
  <sheetViews>
    <sheetView tabSelected="1" workbookViewId="0">
      <selection activeCell="E31" sqref="E31"/>
    </sheetView>
  </sheetViews>
  <sheetFormatPr defaultRowHeight="15" x14ac:dyDescent="0.25"/>
  <cols>
    <col min="1" max="1" width="13.5703125" bestFit="1" customWidth="1"/>
    <col min="2" max="3" width="15.85546875" bestFit="1" customWidth="1"/>
    <col min="4" max="4" width="17.5703125" bestFit="1" customWidth="1"/>
    <col min="5" max="5" width="20" style="6" bestFit="1" customWidth="1"/>
    <col min="6" max="6" width="18" style="6" bestFit="1" customWidth="1"/>
    <col min="7" max="7" width="31.5703125" bestFit="1" customWidth="1"/>
    <col min="8" max="8" width="27.42578125" bestFit="1" customWidth="1"/>
    <col min="9" max="9" width="17.7109375" bestFit="1" customWidth="1"/>
    <col min="10" max="10" width="19.28515625" bestFit="1" customWidth="1"/>
    <col min="11" max="11" width="14.7109375" bestFit="1" customWidth="1"/>
    <col min="12" max="12" width="16.28515625" bestFit="1" customWidth="1"/>
    <col min="13" max="13" width="12.7109375" bestFit="1" customWidth="1"/>
    <col min="14" max="14" width="13.85546875" bestFit="1" customWidth="1"/>
    <col min="15" max="15" width="12.7109375" bestFit="1" customWidth="1"/>
    <col min="16" max="16" width="13.140625" bestFit="1" customWidth="1"/>
    <col min="17" max="17" width="10" bestFit="1" customWidth="1"/>
    <col min="18" max="18" width="19" bestFit="1" customWidth="1"/>
    <col min="19" max="19" width="20.42578125" bestFit="1" customWidth="1"/>
    <col min="20" max="20" width="35.42578125" bestFit="1" customWidth="1"/>
    <col min="21" max="21" width="37" bestFit="1" customWidth="1"/>
    <col min="22" max="22" width="24.7109375" bestFit="1" customWidth="1"/>
    <col min="23" max="23" width="26.42578125" bestFit="1" customWidth="1"/>
    <col min="24" max="24" width="12.7109375" bestFit="1" customWidth="1"/>
    <col min="25" max="25" width="13.5703125" bestFit="1" customWidth="1"/>
    <col min="26" max="26" width="16" bestFit="1" customWidth="1"/>
    <col min="27" max="27" width="20" bestFit="1" customWidth="1"/>
    <col min="28" max="28" width="10.5703125" bestFit="1" customWidth="1"/>
    <col min="29" max="29" width="15.42578125" bestFit="1" customWidth="1"/>
    <col min="31" max="31" width="22.7109375" bestFit="1" customWidth="1"/>
  </cols>
  <sheetData>
    <row r="1" spans="1:31" ht="15.75" thickBot="1" x14ac:dyDescent="0.3">
      <c r="A1" s="28" t="s">
        <v>3</v>
      </c>
      <c r="B1" s="25" t="s">
        <v>5</v>
      </c>
      <c r="C1" s="9" t="s">
        <v>4</v>
      </c>
      <c r="D1" s="9" t="s">
        <v>0</v>
      </c>
      <c r="E1" s="3" t="s">
        <v>35</v>
      </c>
      <c r="F1" s="3" t="s">
        <v>36</v>
      </c>
      <c r="G1" s="9" t="s">
        <v>10</v>
      </c>
      <c r="H1" s="3" t="s">
        <v>37</v>
      </c>
      <c r="I1" s="9" t="s">
        <v>1</v>
      </c>
      <c r="J1" s="3" t="s">
        <v>38</v>
      </c>
      <c r="K1" s="9" t="s">
        <v>6</v>
      </c>
      <c r="L1" s="3" t="s">
        <v>39</v>
      </c>
      <c r="M1" s="9" t="s">
        <v>7</v>
      </c>
      <c r="N1" s="3" t="s">
        <v>40</v>
      </c>
      <c r="O1" s="9" t="s">
        <v>8</v>
      </c>
      <c r="P1" s="3" t="s">
        <v>41</v>
      </c>
      <c r="Q1" s="9" t="s">
        <v>9</v>
      </c>
      <c r="R1" s="9" t="s">
        <v>28</v>
      </c>
      <c r="S1" s="3" t="s">
        <v>42</v>
      </c>
      <c r="T1" s="23" t="s">
        <v>29</v>
      </c>
      <c r="U1" s="3" t="s">
        <v>43</v>
      </c>
      <c r="V1" s="23" t="s">
        <v>30</v>
      </c>
      <c r="W1" s="3" t="s">
        <v>44</v>
      </c>
      <c r="X1" s="9" t="s">
        <v>45</v>
      </c>
      <c r="Y1" s="3" t="s">
        <v>46</v>
      </c>
      <c r="Z1" s="3" t="s">
        <v>47</v>
      </c>
      <c r="AA1" s="9" t="s">
        <v>33</v>
      </c>
      <c r="AB1" s="9" t="s">
        <v>31</v>
      </c>
      <c r="AC1" s="24" t="s">
        <v>34</v>
      </c>
    </row>
    <row r="2" spans="1:31" x14ac:dyDescent="0.25">
      <c r="A2" s="29" t="s">
        <v>13</v>
      </c>
      <c r="B2" s="26">
        <v>43306.628472222219</v>
      </c>
      <c r="C2" s="18">
        <v>43306.76458333333</v>
      </c>
      <c r="D2" s="19">
        <v>8.08</v>
      </c>
      <c r="E2" s="20">
        <v>6.5</v>
      </c>
      <c r="F2" s="4">
        <f>D2*(E2/100)</f>
        <v>0.5252</v>
      </c>
      <c r="G2" s="17">
        <f>D2-$D$17</f>
        <v>-7.0000000000000284E-2</v>
      </c>
      <c r="H2" s="4">
        <f>SQRT((F2^2)+(F$17^2))</f>
        <v>0.74423491118396212</v>
      </c>
      <c r="I2" s="21">
        <f>(C2-B2)*24</f>
        <v>3.2666666666627862</v>
      </c>
      <c r="J2" s="7">
        <f>1/60</f>
        <v>1.6666666666666666E-2</v>
      </c>
      <c r="K2" s="17">
        <f>1-EXP(-$AE$3*I2)</f>
        <v>3.620584303683394E-2</v>
      </c>
      <c r="L2" s="4">
        <f>K2*SQRT(((J2/I2)^2))</f>
        <v>1.8472368896365791E-4</v>
      </c>
      <c r="M2" s="17">
        <f>G2/((1+K2))</f>
        <v>-6.7554145221618872E-2</v>
      </c>
      <c r="N2" s="4">
        <f t="shared" ref="N2:N17" si="0">M2*SQRT(((H2/G2)^2)+((L2/K2)^2))</f>
        <v>-0.71823084368596557</v>
      </c>
      <c r="O2" s="17">
        <f>M2*K2</f>
        <v>-2.4458547783814183E-3</v>
      </c>
      <c r="P2" s="4">
        <f t="shared" ref="P2:P17" si="1">O2*SQRT(((N2/M2)^2)+((L2/K2)^2))</f>
        <v>-2.6004156184876889E-2</v>
      </c>
      <c r="Q2" s="17">
        <f>M2+O2</f>
        <v>-7.0000000000000284E-2</v>
      </c>
      <c r="R2" s="17">
        <v>1.0190000000000001</v>
      </c>
      <c r="S2" s="4">
        <v>1.4142135623730951E-4</v>
      </c>
      <c r="T2" s="17">
        <f>M2/R2</f>
        <v>-6.6294548794522928E-2</v>
      </c>
      <c r="U2" s="4">
        <f>T2*SQRT(((S2/R2)^2)+((N2/M2)^2))</f>
        <v>-0.70483890456050746</v>
      </c>
      <c r="V2" s="17">
        <f>SUM($T$2:T2)</f>
        <v>-6.6294548794522928E-2</v>
      </c>
      <c r="W2" s="4">
        <f>SQRT((U2^2))</f>
        <v>0.70483890456050746</v>
      </c>
      <c r="X2" s="17">
        <f>M2/60</f>
        <v>-1.1259024203603145E-3</v>
      </c>
      <c r="Y2" s="4">
        <f>X2*SQRT(((N2/M2)^2))</f>
        <v>-1.1970514061432758E-2</v>
      </c>
      <c r="Z2" s="4">
        <f>Y2^2</f>
        <v>1.4329320689495937E-4</v>
      </c>
      <c r="AA2" s="17">
        <f>(C2-$AE$6)*24</f>
        <v>150.34999999991851</v>
      </c>
      <c r="AB2" s="22">
        <f>EXP(-$AE$9*AA2)</f>
        <v>0.99958700708256643</v>
      </c>
      <c r="AC2" s="17">
        <f>X2/AB2</f>
        <v>-1.1263676022024507E-3</v>
      </c>
      <c r="AE2" t="s">
        <v>2</v>
      </c>
    </row>
    <row r="3" spans="1:31" x14ac:dyDescent="0.25">
      <c r="A3" s="30" t="s">
        <v>14</v>
      </c>
      <c r="B3" s="27">
        <v>43306.628472222219</v>
      </c>
      <c r="C3" s="12">
        <v>43306.786805555559</v>
      </c>
      <c r="D3" s="13">
        <v>7.06</v>
      </c>
      <c r="E3" s="14">
        <v>6.95</v>
      </c>
      <c r="F3" s="5">
        <f t="shared" ref="F3:F17" si="2">D3*(E3/100)</f>
        <v>0.49067</v>
      </c>
      <c r="G3" s="11">
        <f t="shared" ref="G3:G17" si="3">D3-$D$17</f>
        <v>-1.0900000000000007</v>
      </c>
      <c r="H3" s="5">
        <f>SQRT((F3^2)+(F$17^2))</f>
        <v>0.72028300821621494</v>
      </c>
      <c r="I3" s="15">
        <f t="shared" ref="I3:I17" si="4">(C3-B3)*24</f>
        <v>3.8000000001629815</v>
      </c>
      <c r="J3" s="8">
        <f t="shared" ref="J3:J17" si="5">1/60</f>
        <v>1.6666666666666666E-2</v>
      </c>
      <c r="K3" s="11">
        <f>1-EXP(-$AE$3*I3)</f>
        <v>4.1991242594079714E-2</v>
      </c>
      <c r="L3" s="5">
        <f t="shared" ref="L3:L17" si="6">K3*SQRT(((J3/I3)^2))</f>
        <v>1.8417211663280137E-4</v>
      </c>
      <c r="M3" s="11">
        <f>G3/((1+K3))</f>
        <v>-1.0460740507630382</v>
      </c>
      <c r="N3" s="5">
        <f t="shared" si="0"/>
        <v>-0.69127152318073037</v>
      </c>
      <c r="O3" s="11">
        <f>M3*K3</f>
        <v>-4.3925949236962393E-2</v>
      </c>
      <c r="P3" s="5">
        <f t="shared" si="1"/>
        <v>-2.9027989566153895E-2</v>
      </c>
      <c r="Q3" s="11">
        <f t="shared" ref="Q3:Q17" si="7">M3+O3</f>
        <v>-1.0900000000000005</v>
      </c>
      <c r="R3" s="11">
        <v>0.73390000000000022</v>
      </c>
      <c r="S3" s="5">
        <v>1.4142135623730951E-4</v>
      </c>
      <c r="T3" s="11">
        <f>M3/R3</f>
        <v>-1.4253631976604957</v>
      </c>
      <c r="U3" s="5">
        <f t="shared" ref="U3:U16" si="8">T3*SQRT(((S3/R3)^2)+((N3/M3)^2))</f>
        <v>-0.94191518268281937</v>
      </c>
      <c r="V3" s="11">
        <f>SUM($T$2:T3)</f>
        <v>-1.4916577464550187</v>
      </c>
      <c r="W3" s="5">
        <f>SQRT((U3^2)+(U2^2))</f>
        <v>1.1764361830335146</v>
      </c>
      <c r="X3" s="11">
        <f t="shared" ref="X3:X17" si="9">M3/60</f>
        <v>-1.7434567512717304E-2</v>
      </c>
      <c r="Y3" s="5">
        <f t="shared" ref="Y3:Y16" si="10">X3*SQRT(((N3/M3)^2))</f>
        <v>-1.1521192053012174E-2</v>
      </c>
      <c r="Z3" s="5">
        <f t="shared" ref="Z3:Z16" si="11">Y3^2</f>
        <v>1.3273786632239087E-4</v>
      </c>
      <c r="AA3" s="11">
        <f>(C3-$AE$6)*24</f>
        <v>150.8833333334187</v>
      </c>
      <c r="AB3" s="16">
        <f t="shared" ref="AB3:AB16" si="12">EXP(-$AE$9*AA3)</f>
        <v>0.99958554238527175</v>
      </c>
      <c r="AC3" s="11">
        <f t="shared" ref="AC3:AC16" si="13">X3/AB3</f>
        <v>-1.7441796398049016E-2</v>
      </c>
      <c r="AE3">
        <f>LN(2)/61.4</f>
        <v>1.1289042028663604E-2</v>
      </c>
    </row>
    <row r="4" spans="1:31" x14ac:dyDescent="0.25">
      <c r="A4" s="30" t="s">
        <v>15</v>
      </c>
      <c r="B4" s="27">
        <v>43306.628472164353</v>
      </c>
      <c r="C4" s="12">
        <v>43306.793055555558</v>
      </c>
      <c r="D4" s="13">
        <v>7.26</v>
      </c>
      <c r="E4" s="14">
        <v>6.85</v>
      </c>
      <c r="F4" s="5">
        <f t="shared" si="2"/>
        <v>0.49730999999999992</v>
      </c>
      <c r="G4" s="11">
        <f t="shared" si="3"/>
        <v>-0.89000000000000057</v>
      </c>
      <c r="H4" s="5">
        <f t="shared" ref="H4:H17" si="14">SQRT((F4^2)+(F$17^2))</f>
        <v>0.72482259838183849</v>
      </c>
      <c r="I4" s="15">
        <f t="shared" si="4"/>
        <v>3.9500013889046386</v>
      </c>
      <c r="J4" s="8">
        <f t="shared" si="5"/>
        <v>1.6666666666666666E-2</v>
      </c>
      <c r="K4" s="11">
        <f>1-EXP(-$AE$3*I4)</f>
        <v>4.361213500802319E-2</v>
      </c>
      <c r="L4" s="5">
        <f t="shared" si="6"/>
        <v>1.8401738258678235E-4</v>
      </c>
      <c r="M4" s="11">
        <f>G4/((1+K4))</f>
        <v>-0.8528072548650063</v>
      </c>
      <c r="N4" s="5">
        <f t="shared" si="0"/>
        <v>-0.69454187235970366</v>
      </c>
      <c r="O4" s="11">
        <f>M4*K4</f>
        <v>-3.7192745134994293E-2</v>
      </c>
      <c r="P4" s="5">
        <f t="shared" si="1"/>
        <v>-3.0290860425011949E-2</v>
      </c>
      <c r="Q4" s="11">
        <f t="shared" si="7"/>
        <v>-0.89000000000000057</v>
      </c>
      <c r="R4" s="11">
        <v>0.66479999999999961</v>
      </c>
      <c r="S4" s="5">
        <v>1.4142135623730951E-4</v>
      </c>
      <c r="T4" s="11">
        <f>M4/R4</f>
        <v>-1.282802729941346</v>
      </c>
      <c r="U4" s="5">
        <f t="shared" si="8"/>
        <v>-1.0447381107893692</v>
      </c>
      <c r="V4" s="11">
        <f>SUM($T$2:T4)</f>
        <v>-2.7744604763963645</v>
      </c>
      <c r="W4" s="5">
        <f>SQRT((U4^2)+(U3^2)+(U2^2))</f>
        <v>1.5733657594107626</v>
      </c>
      <c r="X4" s="11">
        <f t="shared" si="9"/>
        <v>-1.4213454247750106E-2</v>
      </c>
      <c r="Y4" s="5">
        <f t="shared" si="10"/>
        <v>-1.1575697872661729E-2</v>
      </c>
      <c r="Z4" s="5">
        <f t="shared" si="11"/>
        <v>1.3399678123914528E-4</v>
      </c>
      <c r="AA4" s="11">
        <f>(C4-$AE$6)*24</f>
        <v>151.03333333338378</v>
      </c>
      <c r="AB4" s="16">
        <f t="shared" si="12"/>
        <v>0.99958513043954456</v>
      </c>
      <c r="AC4" s="11">
        <f t="shared" si="13"/>
        <v>-1.4219353424655353E-2</v>
      </c>
    </row>
    <row r="5" spans="1:31" x14ac:dyDescent="0.25">
      <c r="A5" s="30" t="s">
        <v>16</v>
      </c>
      <c r="B5" s="27">
        <v>43306.628472164353</v>
      </c>
      <c r="C5" s="12">
        <v>43306.832638888889</v>
      </c>
      <c r="D5" s="13">
        <v>7.4</v>
      </c>
      <c r="E5" s="14">
        <v>6.79</v>
      </c>
      <c r="F5" s="5">
        <f t="shared" si="2"/>
        <v>0.50246000000000002</v>
      </c>
      <c r="G5" s="11">
        <f t="shared" si="3"/>
        <v>-0.75</v>
      </c>
      <c r="H5" s="5">
        <f t="shared" si="14"/>
        <v>0.72836571488847546</v>
      </c>
      <c r="I5" s="15">
        <f t="shared" si="4"/>
        <v>4.9000013888580725</v>
      </c>
      <c r="J5" s="8">
        <f t="shared" si="5"/>
        <v>1.6666666666666666E-2</v>
      </c>
      <c r="K5" s="11">
        <f>1-EXP(-$AE$3*I5)</f>
        <v>5.3814198413827619E-2</v>
      </c>
      <c r="L5" s="5">
        <f t="shared" si="6"/>
        <v>1.830414393221523E-4</v>
      </c>
      <c r="M5" s="11">
        <f>G5/((1+K5))</f>
        <v>-0.71170041277568619</v>
      </c>
      <c r="N5" s="5">
        <f t="shared" si="0"/>
        <v>-0.69117514577244288</v>
      </c>
      <c r="O5" s="11">
        <f>M5*K5</f>
        <v>-3.8299587224313793E-2</v>
      </c>
      <c r="P5" s="5">
        <f t="shared" si="1"/>
        <v>-3.7195264560448651E-2</v>
      </c>
      <c r="Q5" s="11">
        <f t="shared" si="7"/>
        <v>-0.75</v>
      </c>
      <c r="R5" s="11">
        <v>0.93189999999999973</v>
      </c>
      <c r="S5" s="5">
        <v>1.4142135623730951E-4</v>
      </c>
      <c r="T5" s="11">
        <f>M5/R5</f>
        <v>-0.76370899535968062</v>
      </c>
      <c r="U5" s="5">
        <f t="shared" si="8"/>
        <v>-0.74168382252493881</v>
      </c>
      <c r="V5" s="11">
        <f>SUM($T$2:T5)</f>
        <v>-3.5381694717560452</v>
      </c>
      <c r="W5" s="5">
        <f>SQRT((U5^2)+(U4^2)+(U3^2)+(U2^2))</f>
        <v>1.739417921455741</v>
      </c>
      <c r="X5" s="11">
        <f t="shared" si="9"/>
        <v>-1.1861673546261437E-2</v>
      </c>
      <c r="Y5" s="5">
        <f t="shared" si="10"/>
        <v>-1.1519585762874048E-2</v>
      </c>
      <c r="Z5" s="5">
        <f t="shared" si="11"/>
        <v>1.3270085614821046E-4</v>
      </c>
      <c r="AA5" s="11">
        <f>(C5-$AE$6)*24</f>
        <v>151.98333333333721</v>
      </c>
      <c r="AB5" s="16">
        <f t="shared" si="12"/>
        <v>0.99958252145388082</v>
      </c>
      <c r="AC5" s="11">
        <f t="shared" si="13"/>
        <v>-1.1866627608702857E-2</v>
      </c>
    </row>
    <row r="6" spans="1:31" x14ac:dyDescent="0.25">
      <c r="A6" s="30" t="s">
        <v>17</v>
      </c>
      <c r="B6" s="27">
        <v>43306.628472164353</v>
      </c>
      <c r="C6" s="12">
        <v>43306.855555555558</v>
      </c>
      <c r="D6" s="13">
        <v>56.02</v>
      </c>
      <c r="E6" s="14">
        <v>2.4700000000000002</v>
      </c>
      <c r="F6" s="5">
        <f t="shared" si="2"/>
        <v>1.3836940000000002</v>
      </c>
      <c r="G6" s="11">
        <f t="shared" si="3"/>
        <v>47.870000000000005</v>
      </c>
      <c r="H6" s="5">
        <f t="shared" si="14"/>
        <v>1.4807631980370799</v>
      </c>
      <c r="I6" s="15">
        <f t="shared" si="4"/>
        <v>5.4500013889046386</v>
      </c>
      <c r="J6" s="8">
        <f t="shared" si="5"/>
        <v>1.6666666666666666E-2</v>
      </c>
      <c r="K6" s="11">
        <f>1-EXP(-$AE$3*I6)</f>
        <v>5.9670839938895326E-2</v>
      </c>
      <c r="L6" s="5">
        <f t="shared" si="6"/>
        <v>1.8247958633666879E-4</v>
      </c>
      <c r="M6" s="11">
        <f>G6/((1+K6))</f>
        <v>45.1744052924589</v>
      </c>
      <c r="N6" s="5">
        <f t="shared" si="0"/>
        <v>1.4041925370678674</v>
      </c>
      <c r="O6" s="11">
        <f>M6*K6</f>
        <v>2.6955947075411011</v>
      </c>
      <c r="P6" s="5">
        <f t="shared" si="1"/>
        <v>8.4193875159399675E-2</v>
      </c>
      <c r="Q6" s="11">
        <f t="shared" si="7"/>
        <v>47.870000000000005</v>
      </c>
      <c r="R6" s="11">
        <v>0.80379999999999985</v>
      </c>
      <c r="S6" s="5">
        <v>1.4142135623730951E-4</v>
      </c>
      <c r="T6" s="11">
        <f>M6/R6</f>
        <v>56.201051620376845</v>
      </c>
      <c r="U6" s="5">
        <f t="shared" si="8"/>
        <v>1.7469706776018048</v>
      </c>
      <c r="V6" s="11">
        <f>SUM($T$2:T6)</f>
        <v>52.662882148620803</v>
      </c>
      <c r="W6" s="5">
        <f>SQRT((U6^2)+(U5^2)+(U4^2)+(U3^2)+(U2^2))</f>
        <v>2.4652548050621297</v>
      </c>
      <c r="X6" s="11">
        <f t="shared" si="9"/>
        <v>0.75290675487431502</v>
      </c>
      <c r="Y6" s="5">
        <f t="shared" si="10"/>
        <v>2.3403208951131124E-2</v>
      </c>
      <c r="Z6" s="5">
        <f t="shared" si="11"/>
        <v>5.4771018921030397E-4</v>
      </c>
      <c r="AA6" s="11">
        <f>(C6-$AE$6)*24</f>
        <v>152.53333333338378</v>
      </c>
      <c r="AB6" s="16">
        <f t="shared" si="12"/>
        <v>0.99958101099160879</v>
      </c>
      <c r="AC6" s="11">
        <f t="shared" si="13"/>
        <v>0.75322234675848143</v>
      </c>
      <c r="AE6" s="1">
        <v>43300.5</v>
      </c>
    </row>
    <row r="7" spans="1:31" x14ac:dyDescent="0.25">
      <c r="A7" s="30" t="s">
        <v>18</v>
      </c>
      <c r="B7" s="27">
        <v>43306.628472164353</v>
      </c>
      <c r="C7" s="12">
        <v>43306.87777777778</v>
      </c>
      <c r="D7" s="13">
        <v>174.15</v>
      </c>
      <c r="E7" s="14">
        <v>1.4</v>
      </c>
      <c r="F7" s="5">
        <f t="shared" si="2"/>
        <v>2.4380999999999999</v>
      </c>
      <c r="G7" s="11">
        <f t="shared" si="3"/>
        <v>166</v>
      </c>
      <c r="H7" s="5">
        <f t="shared" si="14"/>
        <v>2.494470319130897</v>
      </c>
      <c r="I7" s="15">
        <f t="shared" si="4"/>
        <v>5.9833347222302109</v>
      </c>
      <c r="J7" s="8">
        <f t="shared" si="5"/>
        <v>1.6666666666666666E-2</v>
      </c>
      <c r="K7" s="11">
        <f>1-EXP(-$AE$3*I7)</f>
        <v>6.5315385369268619E-2</v>
      </c>
      <c r="L7" s="5">
        <f t="shared" si="6"/>
        <v>1.8193696436704098E-4</v>
      </c>
      <c r="M7" s="11">
        <f>G7/((1+K7))</f>
        <v>155.8223999012834</v>
      </c>
      <c r="N7" s="5">
        <f t="shared" si="0"/>
        <v>2.3814215903969771</v>
      </c>
      <c r="O7" s="11">
        <f>M7*K7</f>
        <v>10.17760009871661</v>
      </c>
      <c r="P7" s="5">
        <f t="shared" si="1"/>
        <v>0.15810592956645336</v>
      </c>
      <c r="Q7" s="11">
        <f t="shared" si="7"/>
        <v>166</v>
      </c>
      <c r="R7" s="11">
        <v>0.81170000000000009</v>
      </c>
      <c r="S7" s="5">
        <v>1.4142135623730951E-4</v>
      </c>
      <c r="T7" s="11">
        <f>M7/R7</f>
        <v>191.97043230415596</v>
      </c>
      <c r="U7" s="5">
        <f t="shared" si="8"/>
        <v>2.9340597954783392</v>
      </c>
      <c r="V7" s="11">
        <f>SUM($T$2:T7)</f>
        <v>244.63331445277677</v>
      </c>
      <c r="W7" s="5">
        <f>SQRT((U7^2)+(U6^2)+(U5^2)+(U4^2)+(U3^2)+(U2^2))</f>
        <v>3.8322562723967604</v>
      </c>
      <c r="X7" s="11">
        <f t="shared" si="9"/>
        <v>2.5970399983547234</v>
      </c>
      <c r="Y7" s="5">
        <f t="shared" si="10"/>
        <v>3.9690359839949618E-2</v>
      </c>
      <c r="Z7" s="5">
        <f t="shared" si="11"/>
        <v>1.5753246642246856E-3</v>
      </c>
      <c r="AA7" s="11">
        <f>(C7-$AE$6)*24</f>
        <v>153.06666666670935</v>
      </c>
      <c r="AB7" s="16">
        <f t="shared" si="12"/>
        <v>0.99957954630310075</v>
      </c>
      <c r="AC7" s="11">
        <f t="shared" si="13"/>
        <v>2.5981323927242781</v>
      </c>
    </row>
    <row r="8" spans="1:31" x14ac:dyDescent="0.25">
      <c r="A8" s="30" t="s">
        <v>19</v>
      </c>
      <c r="B8" s="27">
        <v>43306.628472164353</v>
      </c>
      <c r="C8" s="12">
        <v>43306.900694444441</v>
      </c>
      <c r="D8" s="13">
        <v>197.11</v>
      </c>
      <c r="E8" s="14">
        <v>1.32</v>
      </c>
      <c r="F8" s="5">
        <f t="shared" si="2"/>
        <v>2.6018520000000001</v>
      </c>
      <c r="G8" s="11">
        <f t="shared" si="3"/>
        <v>188.96</v>
      </c>
      <c r="H8" s="5">
        <f t="shared" si="14"/>
        <v>2.6547475196200865</v>
      </c>
      <c r="I8" s="15">
        <f t="shared" si="4"/>
        <v>6.533334722102154</v>
      </c>
      <c r="J8" s="8">
        <f t="shared" si="5"/>
        <v>1.6666666666666666E-2</v>
      </c>
      <c r="K8" s="11">
        <f>1-EXP(-$AE$3*I8)</f>
        <v>7.1100837566901443E-2</v>
      </c>
      <c r="L8" s="5">
        <f t="shared" si="6"/>
        <v>1.8137964911540142E-4</v>
      </c>
      <c r="M8" s="11">
        <f>G8/((1+K8))</f>
        <v>176.4166298564746</v>
      </c>
      <c r="N8" s="5">
        <f t="shared" si="0"/>
        <v>2.519049791380735</v>
      </c>
      <c r="O8" s="11">
        <f>M8*K8</f>
        <v>12.543370143525376</v>
      </c>
      <c r="P8" s="5">
        <f t="shared" si="1"/>
        <v>0.181942444198086</v>
      </c>
      <c r="Q8" s="11">
        <f t="shared" si="7"/>
        <v>188.95999999999998</v>
      </c>
      <c r="R8" s="11">
        <v>0.80900000000000016</v>
      </c>
      <c r="S8" s="5">
        <v>1.4142135623730951E-4</v>
      </c>
      <c r="T8" s="11">
        <f>M8/R8</f>
        <v>218.0675276347028</v>
      </c>
      <c r="U8" s="5">
        <f t="shared" si="8"/>
        <v>3.1140155248975017</v>
      </c>
      <c r="V8" s="11">
        <f>SUM($T$2:T8)</f>
        <v>462.7008420874796</v>
      </c>
      <c r="W8" s="5">
        <f>SQRT((U8^2)+(U7^2)+(U6^2)+(U5^2)+(U4^2)+(U3^2)+(U2^2))</f>
        <v>4.9379429752303716</v>
      </c>
      <c r="X8" s="11">
        <f t="shared" si="9"/>
        <v>2.9402771642745766</v>
      </c>
      <c r="Y8" s="5">
        <f t="shared" si="10"/>
        <v>4.1984163189678916E-2</v>
      </c>
      <c r="Z8" s="5">
        <f t="shared" si="11"/>
        <v>1.7626699587375901E-3</v>
      </c>
      <c r="AA8" s="11">
        <f>(C8-$AE$6)*24</f>
        <v>153.6166666665813</v>
      </c>
      <c r="AB8" s="16">
        <f t="shared" si="12"/>
        <v>0.9995780358453249</v>
      </c>
      <c r="AC8" s="11">
        <f t="shared" si="13"/>
        <v>2.941518379591082</v>
      </c>
      <c r="AE8" t="s">
        <v>32</v>
      </c>
    </row>
    <row r="9" spans="1:31" x14ac:dyDescent="0.25">
      <c r="A9" s="30" t="s">
        <v>20</v>
      </c>
      <c r="B9" s="27">
        <v>43306.628472164353</v>
      </c>
      <c r="C9" s="12">
        <v>43306.923611111109</v>
      </c>
      <c r="D9" s="13">
        <v>119.52</v>
      </c>
      <c r="E9" s="14">
        <v>1.69</v>
      </c>
      <c r="F9" s="5">
        <f t="shared" si="2"/>
        <v>2.0198879999999999</v>
      </c>
      <c r="G9" s="11">
        <f t="shared" si="3"/>
        <v>111.36999999999999</v>
      </c>
      <c r="H9" s="5">
        <f t="shared" si="14"/>
        <v>2.0875818775724704</v>
      </c>
      <c r="I9" s="15">
        <f t="shared" si="4"/>
        <v>7.0833347221487202</v>
      </c>
      <c r="J9" s="8">
        <f t="shared" si="5"/>
        <v>1.6666666666666666E-2</v>
      </c>
      <c r="K9" s="11">
        <f>1-EXP(-$AE$3*I9)</f>
        <v>7.6850479337245536E-2</v>
      </c>
      <c r="L9" s="5">
        <f t="shared" si="6"/>
        <v>1.8082462181017532E-4</v>
      </c>
      <c r="M9" s="11">
        <f>G9/((1+K9))</f>
        <v>103.42197188651795</v>
      </c>
      <c r="N9" s="5">
        <f t="shared" si="0"/>
        <v>1.9538130567680818</v>
      </c>
      <c r="O9" s="11">
        <f>M9*K9</f>
        <v>7.948028113482037</v>
      </c>
      <c r="P9" s="5">
        <f t="shared" si="1"/>
        <v>0.15131159990539461</v>
      </c>
      <c r="Q9" s="11">
        <f t="shared" si="7"/>
        <v>111.36999999999999</v>
      </c>
      <c r="R9" s="11">
        <v>0.77430000000000021</v>
      </c>
      <c r="S9" s="5">
        <v>1.4142135623730951E-4</v>
      </c>
      <c r="T9" s="11">
        <f>M9/R9</f>
        <v>133.56834803889697</v>
      </c>
      <c r="U9" s="5">
        <f t="shared" si="8"/>
        <v>2.5234461653691298</v>
      </c>
      <c r="V9" s="11">
        <f>SUM($T$2:T9)</f>
        <v>596.26919012637654</v>
      </c>
      <c r="W9" s="5">
        <f>SQRT((U9^2)+(U8^2)+(U7^2)+(U6^2)+(U5^2)+(U4^2)+(U3^2)+(U2^2))</f>
        <v>5.5453639534428341</v>
      </c>
      <c r="X9" s="11">
        <f t="shared" si="9"/>
        <v>1.7236995314419659</v>
      </c>
      <c r="Y9" s="5">
        <f t="shared" si="10"/>
        <v>3.2563550946134695E-2</v>
      </c>
      <c r="Z9" s="5">
        <f t="shared" si="11"/>
        <v>1.0603848502215099E-3</v>
      </c>
      <c r="AA9" s="11">
        <f>(C9-$AE$6)*24</f>
        <v>154.16666666662786</v>
      </c>
      <c r="AB9" s="16">
        <f t="shared" si="12"/>
        <v>0.99957652538983111</v>
      </c>
      <c r="AC9" s="11">
        <f t="shared" si="13"/>
        <v>1.7244297836723701</v>
      </c>
      <c r="AE9">
        <f>LN(2)/252288</f>
        <v>2.7474441137110973E-6</v>
      </c>
    </row>
    <row r="10" spans="1:31" x14ac:dyDescent="0.25">
      <c r="A10" s="30" t="s">
        <v>21</v>
      </c>
      <c r="B10" s="27">
        <v>43306.628472164353</v>
      </c>
      <c r="C10" s="12">
        <v>43306.946527777778</v>
      </c>
      <c r="D10" s="13">
        <v>75.03</v>
      </c>
      <c r="E10" s="14">
        <v>2.13</v>
      </c>
      <c r="F10" s="5">
        <f t="shared" si="2"/>
        <v>1.598139</v>
      </c>
      <c r="G10" s="11">
        <f t="shared" si="3"/>
        <v>66.88</v>
      </c>
      <c r="H10" s="5">
        <f t="shared" si="14"/>
        <v>1.6828840798896398</v>
      </c>
      <c r="I10" s="15">
        <f t="shared" si="4"/>
        <v>7.6333347221952863</v>
      </c>
      <c r="J10" s="8">
        <f t="shared" si="5"/>
        <v>1.6666666666666666E-2</v>
      </c>
      <c r="K10" s="11">
        <f>1-EXP(-$AE$3*I10)</f>
        <v>8.2564532335606233E-2</v>
      </c>
      <c r="L10" s="5">
        <f t="shared" si="6"/>
        <v>1.8027187186297293E-4</v>
      </c>
      <c r="M10" s="11">
        <f>G10/((1+K10))</f>
        <v>61.779227013569383</v>
      </c>
      <c r="N10" s="5">
        <f t="shared" si="0"/>
        <v>1.560375936155989</v>
      </c>
      <c r="O10" s="11">
        <f>M10*K10</f>
        <v>5.1007729864306075</v>
      </c>
      <c r="P10" s="5">
        <f t="shared" si="1"/>
        <v>0.12931219351872056</v>
      </c>
      <c r="Q10" s="11">
        <f t="shared" si="7"/>
        <v>66.88</v>
      </c>
      <c r="R10" s="11">
        <v>0.80630000000000024</v>
      </c>
      <c r="S10" s="5">
        <v>1.4142135623730951E-4</v>
      </c>
      <c r="T10" s="11">
        <f>M10/R10</f>
        <v>76.620646178307538</v>
      </c>
      <c r="U10" s="5">
        <f t="shared" si="8"/>
        <v>1.935276645762239</v>
      </c>
      <c r="V10" s="11">
        <f>SUM($T$2:T10)</f>
        <v>672.88983630468408</v>
      </c>
      <c r="W10" s="5">
        <f>SQRT((U10^2)+(U9^2)+(U8^2)+(U7^2)+(U6^2)+(U5^2)+(U4^2)+(U3^2)+(U2^2))</f>
        <v>5.8733599474045421</v>
      </c>
      <c r="X10" s="11">
        <f t="shared" si="9"/>
        <v>1.0296537835594897</v>
      </c>
      <c r="Y10" s="5">
        <f t="shared" si="10"/>
        <v>2.6006265602599814E-2</v>
      </c>
      <c r="Z10" s="5">
        <f t="shared" si="11"/>
        <v>6.7632585059296626E-4</v>
      </c>
      <c r="AA10" s="11">
        <f>(C10-$AE$6)*24</f>
        <v>154.71666666667443</v>
      </c>
      <c r="AB10" s="16">
        <f t="shared" si="12"/>
        <v>0.99957501493661971</v>
      </c>
      <c r="AC10" s="11">
        <f t="shared" si="13"/>
        <v>1.030091557085165</v>
      </c>
    </row>
    <row r="11" spans="1:31" x14ac:dyDescent="0.25">
      <c r="A11" s="30" t="s">
        <v>22</v>
      </c>
      <c r="B11" s="27">
        <v>43306.628472164353</v>
      </c>
      <c r="C11" s="12">
        <v>43306.96875</v>
      </c>
      <c r="D11" s="13">
        <v>38.11</v>
      </c>
      <c r="E11" s="14">
        <v>2.99</v>
      </c>
      <c r="F11" s="5">
        <f t="shared" si="2"/>
        <v>1.1394890000000002</v>
      </c>
      <c r="G11" s="11">
        <f t="shared" si="3"/>
        <v>29.96</v>
      </c>
      <c r="H11" s="5">
        <f t="shared" si="14"/>
        <v>1.2555818349060328</v>
      </c>
      <c r="I11" s="15">
        <f t="shared" si="4"/>
        <v>8.1666680555208586</v>
      </c>
      <c r="J11" s="8">
        <f t="shared" si="5"/>
        <v>1.6666666666666666E-2</v>
      </c>
      <c r="K11" s="11">
        <f>1-EXP(-$AE$3*I11)</f>
        <v>8.8071653029737407E-2</v>
      </c>
      <c r="L11" s="5">
        <f t="shared" si="6"/>
        <v>1.7973803684069765E-4</v>
      </c>
      <c r="M11" s="11">
        <f>G11/((1+K11))</f>
        <v>27.534951321060824</v>
      </c>
      <c r="N11" s="5">
        <f t="shared" si="0"/>
        <v>1.1553188441821467</v>
      </c>
      <c r="O11" s="11">
        <f>M11*K11</f>
        <v>2.4250486789391785</v>
      </c>
      <c r="P11" s="5">
        <f t="shared" si="1"/>
        <v>0.1018711288478928</v>
      </c>
      <c r="Q11" s="11">
        <f t="shared" si="7"/>
        <v>29.96</v>
      </c>
      <c r="R11" s="11">
        <v>0.80239999999999956</v>
      </c>
      <c r="S11" s="5">
        <v>1.4142135623730951E-4</v>
      </c>
      <c r="T11" s="11">
        <f>M11/R11</f>
        <v>34.315741925549403</v>
      </c>
      <c r="U11" s="5">
        <f t="shared" si="8"/>
        <v>1.439841770608131</v>
      </c>
      <c r="V11" s="11">
        <f>SUM($T$2:T11)</f>
        <v>707.20557823023353</v>
      </c>
      <c r="W11" s="5">
        <f>SQRT((U11^2)+(U10^2)+(U9^2)+(U8^2)+(U7^2)+(U6^2)+(U5^2)+(U4^2)+(U3^2)+(U2^2))</f>
        <v>6.0472722277208462</v>
      </c>
      <c r="X11" s="11">
        <f t="shared" si="9"/>
        <v>0.4589158553510137</v>
      </c>
      <c r="Y11" s="5">
        <f t="shared" si="10"/>
        <v>1.9255314069702444E-2</v>
      </c>
      <c r="Z11" s="5">
        <f t="shared" si="11"/>
        <v>3.7076711992288091E-4</v>
      </c>
      <c r="AA11" s="11">
        <f>(C11-$AE$6)*24</f>
        <v>155.25</v>
      </c>
      <c r="AB11" s="16">
        <f t="shared" si="12"/>
        <v>0.99957355025689765</v>
      </c>
      <c r="AC11" s="11">
        <f t="shared" si="13"/>
        <v>0.45911164339339411</v>
      </c>
    </row>
    <row r="12" spans="1:31" x14ac:dyDescent="0.25">
      <c r="A12" s="30" t="s">
        <v>23</v>
      </c>
      <c r="B12" s="27">
        <v>43306.628472164353</v>
      </c>
      <c r="C12" s="12">
        <v>43306.991666666669</v>
      </c>
      <c r="D12" s="13">
        <v>20.02</v>
      </c>
      <c r="E12" s="14">
        <v>4.13</v>
      </c>
      <c r="F12" s="5">
        <f t="shared" si="2"/>
        <v>0.82682599999999995</v>
      </c>
      <c r="G12" s="11">
        <f t="shared" si="3"/>
        <v>11.87</v>
      </c>
      <c r="H12" s="5">
        <f t="shared" si="14"/>
        <v>0.98065885877862746</v>
      </c>
      <c r="I12" s="15">
        <f t="shared" si="4"/>
        <v>8.7166680555674247</v>
      </c>
      <c r="J12" s="8">
        <f t="shared" si="5"/>
        <v>1.6666666666666666E-2</v>
      </c>
      <c r="K12" s="11">
        <f>1-EXP(-$AE$3*I12)</f>
        <v>9.3716249911025562E-2</v>
      </c>
      <c r="L12" s="5">
        <f t="shared" si="6"/>
        <v>1.7918974183254199E-4</v>
      </c>
      <c r="M12" s="11">
        <f>G12/((1+K12))</f>
        <v>10.852906319134995</v>
      </c>
      <c r="N12" s="5">
        <f t="shared" si="0"/>
        <v>0.89687014992059777</v>
      </c>
      <c r="O12" s="11">
        <f>M12*K12</f>
        <v>1.0170936808650037</v>
      </c>
      <c r="P12" s="5">
        <f t="shared" si="1"/>
        <v>8.4073802098326503E-2</v>
      </c>
      <c r="Q12" s="11">
        <f t="shared" si="7"/>
        <v>11.87</v>
      </c>
      <c r="R12" s="11">
        <v>0.79570000000000007</v>
      </c>
      <c r="S12" s="5">
        <v>1.4142135623730951E-4</v>
      </c>
      <c r="T12" s="11">
        <f>M12/R12</f>
        <v>13.639444915338688</v>
      </c>
      <c r="U12" s="5">
        <f t="shared" si="8"/>
        <v>1.1271487045132691</v>
      </c>
      <c r="V12" s="11">
        <f>SUM($T$2:T12)</f>
        <v>720.84502314557221</v>
      </c>
      <c r="W12" s="5">
        <f>SQRT((U12^2)+(U11^2)+(U10^2)+(U9^2)+(U8^2)+(U7^2)+(U6^2)+(U5^2)+(U4^2)+(U3^2)+(U2^2))</f>
        <v>6.1514198034478014</v>
      </c>
      <c r="X12" s="11">
        <f t="shared" si="9"/>
        <v>0.18088177198558325</v>
      </c>
      <c r="Y12" s="5">
        <f t="shared" si="10"/>
        <v>1.4947835832009964E-2</v>
      </c>
      <c r="Z12" s="5">
        <f t="shared" si="11"/>
        <v>2.23437796060721E-4</v>
      </c>
      <c r="AA12" s="11">
        <f>(C12-$AE$6)*24</f>
        <v>155.80000000004657</v>
      </c>
      <c r="AB12" s="16">
        <f t="shared" si="12"/>
        <v>0.99957203980818188</v>
      </c>
      <c r="AC12" s="11">
        <f t="shared" si="13"/>
        <v>0.18095921532608547</v>
      </c>
    </row>
    <row r="13" spans="1:31" x14ac:dyDescent="0.25">
      <c r="A13" s="30" t="s">
        <v>24</v>
      </c>
      <c r="B13" s="27">
        <v>43306.628472164353</v>
      </c>
      <c r="C13" s="12">
        <v>43307.01458333333</v>
      </c>
      <c r="D13" s="13">
        <v>13.3</v>
      </c>
      <c r="E13" s="14">
        <v>5.0599999999999996</v>
      </c>
      <c r="F13" s="5">
        <f t="shared" si="2"/>
        <v>0.67298000000000002</v>
      </c>
      <c r="G13" s="11">
        <f t="shared" si="3"/>
        <v>5.15</v>
      </c>
      <c r="H13" s="5">
        <f t="shared" si="14"/>
        <v>0.85495768516634785</v>
      </c>
      <c r="I13" s="15">
        <f t="shared" si="4"/>
        <v>9.2666680554393679</v>
      </c>
      <c r="J13" s="8">
        <f t="shared" si="5"/>
        <v>1.6666666666666666E-2</v>
      </c>
      <c r="K13" s="11">
        <f>1-EXP(-$AE$3*I13)</f>
        <v>9.9325908218820258E-2</v>
      </c>
      <c r="L13" s="5">
        <f t="shared" si="6"/>
        <v>1.7864369304512807E-4</v>
      </c>
      <c r="M13" s="11">
        <f>G13/((1+K13))</f>
        <v>4.684689009416938</v>
      </c>
      <c r="N13" s="5">
        <f t="shared" si="0"/>
        <v>0.77775648933521613</v>
      </c>
      <c r="O13" s="11">
        <f>M13*K13</f>
        <v>0.4653109905830628</v>
      </c>
      <c r="P13" s="5">
        <f t="shared" si="1"/>
        <v>7.7255902699923745E-2</v>
      </c>
      <c r="Q13" s="11">
        <f t="shared" si="7"/>
        <v>5.15</v>
      </c>
      <c r="R13" s="11">
        <v>0.82560000000000056</v>
      </c>
      <c r="S13" s="5">
        <v>1.4142135623730951E-4</v>
      </c>
      <c r="T13" s="11">
        <f>M13/R13</f>
        <v>5.6742841683829148</v>
      </c>
      <c r="U13" s="5">
        <f t="shared" si="8"/>
        <v>0.94205051273534901</v>
      </c>
      <c r="V13" s="11">
        <f>SUM($T$2:T13)</f>
        <v>726.5193073139551</v>
      </c>
      <c r="W13" s="5">
        <f>SQRT((U13^2)+(U12^2)+(U11^2)+(U10^2)+(U9^2)+(U8^2)+(U7^2)+(U6^2)+(U5^2)+(U4^2)+(U3^2)+(U2^2))</f>
        <v>6.223136248451798</v>
      </c>
      <c r="X13" s="11">
        <f t="shared" si="9"/>
        <v>7.8078150156948967E-2</v>
      </c>
      <c r="Y13" s="5">
        <f t="shared" si="10"/>
        <v>1.2962608155586936E-2</v>
      </c>
      <c r="Z13" s="5">
        <f t="shared" si="11"/>
        <v>1.6802921019528895E-4</v>
      </c>
      <c r="AA13" s="11">
        <f>(C13-$AE$6)*24</f>
        <v>156.34999999991851</v>
      </c>
      <c r="AB13" s="16">
        <f t="shared" si="12"/>
        <v>0.99957052936174917</v>
      </c>
      <c r="AC13" s="11">
        <f t="shared" si="13"/>
        <v>7.8111696837244518E-2</v>
      </c>
    </row>
    <row r="14" spans="1:31" x14ac:dyDescent="0.25">
      <c r="A14" s="30" t="s">
        <v>25</v>
      </c>
      <c r="B14" s="27">
        <v>43306.628472164353</v>
      </c>
      <c r="C14" s="12">
        <v>43307.03749988426</v>
      </c>
      <c r="D14" s="13">
        <v>10.5</v>
      </c>
      <c r="E14" s="14">
        <v>5.7</v>
      </c>
      <c r="F14" s="5">
        <f t="shared" si="2"/>
        <v>0.59850000000000003</v>
      </c>
      <c r="G14" s="11">
        <f t="shared" si="3"/>
        <v>2.3499999999999996</v>
      </c>
      <c r="H14" s="5">
        <f t="shared" si="14"/>
        <v>0.79765456998941597</v>
      </c>
      <c r="I14" s="15">
        <f t="shared" si="4"/>
        <v>9.8166652777581476</v>
      </c>
      <c r="J14" s="8">
        <f t="shared" si="5"/>
        <v>1.6666666666666666E-2</v>
      </c>
      <c r="K14" s="11">
        <f>1-EXP(-$AE$3*I14)</f>
        <v>0.10490081614884572</v>
      </c>
      <c r="L14" s="5">
        <f t="shared" si="6"/>
        <v>1.7809988283652359E-4</v>
      </c>
      <c r="M14" s="11">
        <f>G14/((1+K14))</f>
        <v>2.126887740196421</v>
      </c>
      <c r="N14" s="5">
        <f t="shared" si="0"/>
        <v>0.72193316961759491</v>
      </c>
      <c r="O14" s="11">
        <f>M14*K14</f>
        <v>0.22311225980357871</v>
      </c>
      <c r="P14" s="5">
        <f t="shared" si="1"/>
        <v>7.573232604206874E-2</v>
      </c>
      <c r="Q14" s="11">
        <f t="shared" si="7"/>
        <v>2.3499999999999996</v>
      </c>
      <c r="R14" s="11">
        <v>0.80049999999999955</v>
      </c>
      <c r="S14" s="5">
        <v>1.4142135623730951E-4</v>
      </c>
      <c r="T14" s="11">
        <f>M14/R14</f>
        <v>2.6569490820692345</v>
      </c>
      <c r="U14" s="5">
        <f t="shared" si="8"/>
        <v>0.90185292617359691</v>
      </c>
      <c r="V14" s="11">
        <f>SUM($T$2:T14)</f>
        <v>729.17625639602431</v>
      </c>
      <c r="W14" s="5">
        <f>SQRT((U14^2)+(U13^2)+(U12^2)+(U11^2)+(U10^2)+(U9^2)+(U8^2)+(U7^2)+(U6^2)+(U5^2)+(U4^2)+(U3^2)+(U2^2))</f>
        <v>6.2881446760743822</v>
      </c>
      <c r="X14" s="11">
        <f t="shared" si="9"/>
        <v>3.5448129003273682E-2</v>
      </c>
      <c r="Y14" s="5">
        <f t="shared" si="10"/>
        <v>1.2032219493626581E-2</v>
      </c>
      <c r="Z14" s="5">
        <f t="shared" si="11"/>
        <v>1.4477430594280749E-4</v>
      </c>
      <c r="AA14" s="11">
        <f>(C14-$AE$6)*24</f>
        <v>156.89999722223729</v>
      </c>
      <c r="AB14" s="16">
        <f t="shared" si="12"/>
        <v>0.99956901892522665</v>
      </c>
      <c r="AC14" s="11">
        <f t="shared" si="13"/>
        <v>3.5463413063150769E-2</v>
      </c>
    </row>
    <row r="15" spans="1:31" x14ac:dyDescent="0.25">
      <c r="A15" s="30" t="s">
        <v>26</v>
      </c>
      <c r="B15" s="27">
        <v>43306.628472164353</v>
      </c>
      <c r="C15" s="12">
        <v>43307.060416493056</v>
      </c>
      <c r="D15" s="13">
        <v>8.9</v>
      </c>
      <c r="E15" s="14">
        <v>6.19</v>
      </c>
      <c r="F15" s="5">
        <f t="shared" si="2"/>
        <v>0.55091000000000001</v>
      </c>
      <c r="G15" s="11">
        <f t="shared" si="3"/>
        <v>0.75</v>
      </c>
      <c r="H15" s="5">
        <f t="shared" si="14"/>
        <v>0.76259582422473304</v>
      </c>
      <c r="I15" s="15">
        <f t="shared" si="4"/>
        <v>10.366663888853509</v>
      </c>
      <c r="J15" s="8">
        <f t="shared" si="5"/>
        <v>1.6666666666666666E-2</v>
      </c>
      <c r="K15" s="11">
        <f>1-EXP(-$AE$3*I15)</f>
        <v>0.11044123098365211</v>
      </c>
      <c r="L15" s="5">
        <f t="shared" si="6"/>
        <v>1.7755829674771459E-4</v>
      </c>
      <c r="M15" s="11">
        <f>G15/((1+K15))</f>
        <v>0.67540719767369806</v>
      </c>
      <c r="N15" s="5">
        <f t="shared" si="0"/>
        <v>0.68675113659299725</v>
      </c>
      <c r="O15" s="11">
        <f>M15*K15</f>
        <v>7.4592802326302068E-2</v>
      </c>
      <c r="P15" s="5">
        <f t="shared" si="1"/>
        <v>7.5845735714375265E-2</v>
      </c>
      <c r="Q15" s="11">
        <f t="shared" si="7"/>
        <v>0.75000000000000011</v>
      </c>
      <c r="R15" s="11">
        <v>0.79889999999999972</v>
      </c>
      <c r="S15" s="5">
        <v>1.4142135623730951E-4</v>
      </c>
      <c r="T15" s="11">
        <f>M15/R15</f>
        <v>0.84542145158805648</v>
      </c>
      <c r="U15" s="5">
        <f t="shared" si="8"/>
        <v>0.85962091250533823</v>
      </c>
      <c r="V15" s="11">
        <f>SUM($T$2:T15)</f>
        <v>730.02167784761241</v>
      </c>
      <c r="W15" s="5">
        <f>SQRT((U15^2)+(U14^2)+(U13^2)+(U12^2)+(U11^2)+(U10^2)+(U9^2)+(U8^2)+(U7^2)+(U6^2)+(U5^2)+(U4^2)+(U3^2)+(U2^2))</f>
        <v>6.3466299388304579</v>
      </c>
      <c r="X15" s="11">
        <f t="shared" si="9"/>
        <v>1.1256786627894968E-2</v>
      </c>
      <c r="Y15" s="5">
        <f t="shared" si="10"/>
        <v>1.1445852276549954E-2</v>
      </c>
      <c r="Z15" s="5">
        <f t="shared" si="11"/>
        <v>1.3100753433660376E-4</v>
      </c>
      <c r="AA15" s="11">
        <f>(C15-$AE$6)*24</f>
        <v>157.44999583333265</v>
      </c>
      <c r="AB15" s="16">
        <f t="shared" si="12"/>
        <v>0.99956750848717268</v>
      </c>
      <c r="AC15" s="11">
        <f t="shared" si="13"/>
        <v>1.1261657199053929E-2</v>
      </c>
    </row>
    <row r="16" spans="1:31" x14ac:dyDescent="0.25">
      <c r="A16" s="30" t="s">
        <v>27</v>
      </c>
      <c r="B16" s="27">
        <v>43306.628472164353</v>
      </c>
      <c r="C16" s="12">
        <v>43307.082638888889</v>
      </c>
      <c r="D16" s="13">
        <v>9.7200000000000006</v>
      </c>
      <c r="E16" s="14">
        <v>5.92</v>
      </c>
      <c r="F16" s="5">
        <f t="shared" si="2"/>
        <v>0.57542400000000005</v>
      </c>
      <c r="G16" s="11">
        <f t="shared" si="3"/>
        <v>1.5700000000000003</v>
      </c>
      <c r="H16" s="5">
        <f t="shared" si="14"/>
        <v>0.7804891689197232</v>
      </c>
      <c r="I16" s="15">
        <f t="shared" si="4"/>
        <v>10.900001388858072</v>
      </c>
      <c r="J16" s="8">
        <f t="shared" si="5"/>
        <v>1.6666666666666666E-2</v>
      </c>
      <c r="K16" s="11">
        <f>1-EXP(-$AE$3*I16)</f>
        <v>0.11578105687428764</v>
      </c>
      <c r="L16" s="5">
        <f t="shared" si="6"/>
        <v>1.7703523260195552E-4</v>
      </c>
      <c r="M16" s="11">
        <f>G16/((1+K16))</f>
        <v>1.4070860858653997</v>
      </c>
      <c r="N16" s="5">
        <f t="shared" si="0"/>
        <v>0.69950359524028771</v>
      </c>
      <c r="O16" s="11">
        <f>M16*K16</f>
        <v>0.16291391413460063</v>
      </c>
      <c r="P16" s="5">
        <f t="shared" si="1"/>
        <v>8.0989648635563433E-2</v>
      </c>
      <c r="Q16" s="11">
        <f t="shared" si="7"/>
        <v>1.5700000000000003</v>
      </c>
      <c r="R16" s="11">
        <v>0.79280000000000062</v>
      </c>
      <c r="S16" s="5">
        <v>1.4142135623730951E-4</v>
      </c>
      <c r="T16" s="11">
        <f>M16/R16</f>
        <v>1.7748310871157904</v>
      </c>
      <c r="U16" s="5">
        <f t="shared" si="8"/>
        <v>0.88232043424896955</v>
      </c>
      <c r="V16" s="11">
        <f>SUM($T$2:T16)</f>
        <v>731.79650893472819</v>
      </c>
      <c r="W16" s="5">
        <f>SQRT((U16^2)+(U15^2)+(U14^2)+(U13^2)+(U12^2)+(U11^2)+(U10^2)+(U9^2)+(U8^2)+(U7^2)+(U6^2)+(U5^2)+(U4^2)+(U3^2)+(U2^2))</f>
        <v>6.4076673547518368</v>
      </c>
      <c r="X16" s="11">
        <f t="shared" si="9"/>
        <v>2.345143476442333E-2</v>
      </c>
      <c r="Y16" s="5">
        <f t="shared" si="10"/>
        <v>1.1658393254004796E-2</v>
      </c>
      <c r="Z16" s="5">
        <f t="shared" si="11"/>
        <v>1.3591813326502454E-4</v>
      </c>
      <c r="AA16" s="11">
        <f>(C16-$AE$6)*24</f>
        <v>157.98333333333721</v>
      </c>
      <c r="AB16" s="16">
        <f t="shared" si="12"/>
        <v>0.99956604380700709</v>
      </c>
      <c r="AC16" s="11">
        <f t="shared" si="13"/>
        <v>2.346161607801801E-2</v>
      </c>
    </row>
    <row r="17" spans="1:29" ht="15.75" thickBot="1" x14ac:dyDescent="0.3">
      <c r="A17" s="31" t="s">
        <v>11</v>
      </c>
      <c r="B17" s="27">
        <v>43306.628472164353</v>
      </c>
      <c r="C17" s="12">
        <v>43307.105555555558</v>
      </c>
      <c r="D17" s="13">
        <v>8.15</v>
      </c>
      <c r="E17" s="14">
        <v>6.47</v>
      </c>
      <c r="F17" s="5">
        <f t="shared" si="2"/>
        <v>0.52730500000000002</v>
      </c>
      <c r="G17" s="11">
        <f t="shared" si="3"/>
        <v>0</v>
      </c>
      <c r="H17" s="5">
        <f t="shared" si="14"/>
        <v>0.74572188250714488</v>
      </c>
      <c r="I17" s="15">
        <f t="shared" si="4"/>
        <v>11.450001388904639</v>
      </c>
      <c r="J17" s="8">
        <f t="shared" si="5"/>
        <v>1.6666666666666666E-2</v>
      </c>
      <c r="K17" s="11">
        <f>1-EXP(-$AE$3*I17)</f>
        <v>0.12125413982573363</v>
      </c>
      <c r="L17" s="5">
        <f t="shared" si="6"/>
        <v>1.7649799871528423E-4</v>
      </c>
      <c r="M17" s="11">
        <f>G17/((1+K17))</f>
        <v>0</v>
      </c>
      <c r="N17" s="5" t="e">
        <f t="shared" si="0"/>
        <v>#DIV/0!</v>
      </c>
      <c r="O17" s="11">
        <f>M17*K17</f>
        <v>0</v>
      </c>
      <c r="P17" s="5" t="e">
        <f t="shared" si="1"/>
        <v>#DIV/0!</v>
      </c>
      <c r="Q17" s="11">
        <f t="shared" si="7"/>
        <v>0</v>
      </c>
      <c r="R17" s="11"/>
      <c r="S17" s="5">
        <v>1E-4</v>
      </c>
      <c r="T17" s="11"/>
      <c r="U17" s="5"/>
      <c r="V17" s="11"/>
      <c r="W17" s="5"/>
      <c r="X17" s="11">
        <f t="shared" si="9"/>
        <v>0</v>
      </c>
      <c r="Y17" s="5"/>
      <c r="Z17" s="5"/>
      <c r="AA17" s="11"/>
      <c r="AB17" s="11"/>
      <c r="AC17" s="11"/>
    </row>
    <row r="22" spans="1:29" x14ac:dyDescent="0.25">
      <c r="W22" s="6"/>
      <c r="Y22" s="10" t="s">
        <v>48</v>
      </c>
    </row>
    <row r="23" spans="1:29" x14ac:dyDescent="0.25">
      <c r="W23" s="6" t="s">
        <v>49</v>
      </c>
      <c r="X23" s="2">
        <f>SUM(X2:X17)</f>
        <v>9.7869737626671203</v>
      </c>
      <c r="Y23" s="6">
        <f>SQRT(SUM(Z2:Z16))</f>
        <v>8.566842080554006E-2</v>
      </c>
      <c r="Z23" s="2"/>
      <c r="AB23" s="2"/>
      <c r="AC23">
        <f>SUM(AC2:AC16)</f>
        <v>9.7911095566947104</v>
      </c>
    </row>
    <row r="27" spans="1:29" x14ac:dyDescent="0.25">
      <c r="G27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CT18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2021-06-16T14:34:57Z</dcterms:modified>
</cp:coreProperties>
</file>